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_xlnm.Print_Area" localSheetId="0">Лист1!$A$1:$J$43</definedName>
  </definedNames>
  <calcPr calcId="125725"/>
</workbook>
</file>

<file path=xl/calcChain.xml><?xml version="1.0" encoding="utf-8"?>
<calcChain xmlns="http://schemas.openxmlformats.org/spreadsheetml/2006/main">
  <c r="P34" i="1"/>
  <c r="P33"/>
  <c r="P9"/>
  <c r="P10"/>
  <c r="P11"/>
  <c r="P12"/>
  <c r="P13"/>
  <c r="P14"/>
  <c r="P15"/>
  <c r="P16"/>
  <c r="P17"/>
  <c r="P18"/>
  <c r="P19"/>
  <c r="P20"/>
  <c r="P21"/>
  <c r="P22"/>
  <c r="P8"/>
  <c r="P25"/>
  <c r="P26"/>
  <c r="P24"/>
  <c r="P30"/>
  <c r="D32"/>
  <c r="D31"/>
  <c r="P31" s="1"/>
  <c r="D23"/>
  <c r="P32"/>
  <c r="P23"/>
  <c r="E5"/>
  <c r="K37" l="1"/>
  <c r="L37"/>
  <c r="M37"/>
  <c r="N37"/>
  <c r="K34"/>
  <c r="L34"/>
  <c r="M34"/>
  <c r="N34"/>
  <c r="K33"/>
  <c r="L33"/>
  <c r="M33"/>
  <c r="N33"/>
  <c r="O30"/>
  <c r="K27"/>
  <c r="L27"/>
  <c r="M27"/>
  <c r="N27"/>
  <c r="O9"/>
  <c r="O10"/>
  <c r="O11"/>
  <c r="O12"/>
  <c r="O13"/>
  <c r="O14"/>
  <c r="O15"/>
  <c r="O16"/>
  <c r="O17"/>
  <c r="O18"/>
  <c r="O19"/>
  <c r="O20"/>
  <c r="O21"/>
  <c r="O22"/>
  <c r="O24"/>
  <c r="O25"/>
  <c r="O26"/>
  <c r="O8"/>
  <c r="D29" i="2"/>
  <c r="C29"/>
  <c r="C30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0" i="1"/>
  <c r="I20" s="1"/>
  <c r="J20" s="1"/>
  <c r="H21"/>
  <c r="I21"/>
  <c r="J21" s="1"/>
  <c r="H22"/>
  <c r="I22" s="1"/>
  <c r="J22" s="1"/>
  <c r="L22"/>
  <c r="M22"/>
  <c r="L21"/>
  <c r="M21"/>
  <c r="H36"/>
  <c r="I36"/>
  <c r="J36" s="1"/>
  <c r="I30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H32"/>
  <c r="I32" s="1"/>
  <c r="J32" s="1"/>
  <c r="O32" s="1"/>
  <c r="A32"/>
  <c r="H31"/>
  <c r="I31" s="1"/>
  <c r="J30"/>
  <c r="H23"/>
  <c r="I23" s="1"/>
  <c r="J23" s="1"/>
  <c r="O23" s="1"/>
  <c r="H24"/>
  <c r="I24" s="1"/>
  <c r="J24" s="1"/>
  <c r="H25"/>
  <c r="I25"/>
  <c r="J25" s="1"/>
  <c r="H26"/>
  <c r="I26" s="1"/>
  <c r="J26" s="1"/>
  <c r="H8"/>
  <c r="I8"/>
  <c r="H9"/>
  <c r="I9"/>
  <c r="J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33"/>
  <c r="J8"/>
  <c r="P27" l="1"/>
  <c r="O27"/>
  <c r="I27"/>
  <c r="J31"/>
  <c r="I33"/>
  <c r="J27"/>
  <c r="H27"/>
  <c r="J33" l="1"/>
  <c r="O31"/>
  <c r="J34"/>
  <c r="J37" s="1"/>
  <c r="G27"/>
  <c r="I34"/>
  <c r="G34" s="1"/>
  <c r="G37" s="1"/>
  <c r="P37" l="1"/>
  <c r="O33"/>
  <c r="O34" s="1"/>
  <c r="O37" s="1"/>
</calcChain>
</file>

<file path=xl/sharedStrings.xml><?xml version="1.0" encoding="utf-8"?>
<sst xmlns="http://schemas.openxmlformats.org/spreadsheetml/2006/main" count="139" uniqueCount="84">
  <si>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</si>
  <si>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</si>
  <si>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</si>
  <si>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</si>
  <si>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</si>
  <si>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</si>
  <si>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</si>
  <si>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</si>
  <si>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</si>
  <si>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</si>
  <si>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</si>
  <si>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</si>
  <si>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</si>
  <si>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</si>
  <si>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</si>
  <si>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</si>
  <si>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</si>
  <si>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</si>
  <si>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</si>
  <si>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</si>
  <si>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</si>
  <si>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</si>
  <si>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</si>
  <si>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</si>
  <si>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</si>
  <si>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</si>
  <si>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</si>
  <si>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</si>
  <si>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</si>
  <si>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</si>
  <si>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</si>
  <si>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</si>
  <si>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</si>
  <si>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</si>
  <si>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</si>
  <si>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</si>
  <si>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</si>
  <si>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</si>
  <si>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</si>
  <si>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</si>
  <si>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</si>
  <si>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</si>
  <si>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>Всего:</t>
  </si>
  <si>
    <t>Осмотр наружных конструкций кирпичного или каменного дома</t>
  </si>
  <si>
    <t>Стоимость на 1 кв.м. общ. пл.</t>
  </si>
  <si>
    <t>Площадь ОИ</t>
  </si>
  <si>
    <t>г. Рязань ул. Новаторов д. 27</t>
  </si>
  <si>
    <t>Осмотр технических этажей, чердаков и подвальных помещений</t>
  </si>
  <si>
    <t xml:space="preserve">Аварийное обслуживание, непредвиденные работы </t>
  </si>
  <si>
    <t xml:space="preserve">Осмотр мест общего пользования </t>
  </si>
  <si>
    <t>Периодичность работ и услуг</t>
  </si>
  <si>
    <t>постоянно</t>
  </si>
  <si>
    <t>Замер сопротивления изоляции</t>
  </si>
  <si>
    <t>Итого:</t>
  </si>
  <si>
    <t>Уборка лестничных площадок и маршей</t>
  </si>
  <si>
    <t xml:space="preserve">Подметание прилегающей территории </t>
  </si>
  <si>
    <t>КРСОИ</t>
  </si>
  <si>
    <t>Тариф на 1м2/мес. в руб. без КРСОИ</t>
  </si>
  <si>
    <t>3 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</si>
  <si>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</si>
  <si>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</si>
  <si>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</si>
  <si>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</si>
  <si>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</si>
  <si>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Осмотр мест общего пользования</t>
  </si>
  <si>
    <t>Аварийное обслуживание, непредвиденные работы</t>
  </si>
  <si>
    <t>Дежурство слесарей, электриков</t>
  </si>
  <si>
    <t xml:space="preserve">Уборка лестничных площадок и маршей 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</si>
  <si>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</si>
  <si>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</si>
  <si>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</si>
  <si>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</si>
  <si>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</si>
  <si>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Новаторов д. 27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</si>
  <si>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</si>
  <si>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</si>
  <si>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</si>
  <si>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</si>
  <si>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</si>
  <si>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>Тариф с КРСОИ</t>
  </si>
  <si>
    <t>с 4%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</si>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</sst>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4">
    <font>
      <sz val="11"/>
      <color theme="1"/>
      <name val="Calibri"/>
      <family val="2"/>
      <scheme val="minor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sz val="13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6" fillId="0" borderId="0" xfId="0" applyFont="1"/>
    <xf numFmtId="0" fontId="7" fillId="0" borderId="0" xfId="0" applyFont="1" applyFill="1" applyAlignment="1">
      <alignment horizontal="right"/>
    </xf>
    <xf numFmtId="0" fontId="6" fillId="2" borderId="0" xfId="0" applyFont="1" applyFill="1"/>
    <xf numFmtId="0" fontId="8" fillId="0" borderId="0" xfId="0" applyFont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wrapText="1"/>
    </xf>
    <xf numFmtId="0" fontId="6" fillId="0" borderId="1" xfId="0" applyFont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0" xfId="0" applyFont="1"/>
    <xf numFmtId="0" fontId="7" fillId="0" borderId="0" xfId="0" applyFont="1" applyFill="1" applyBorder="1" applyAlignment="1">
      <alignment horizontal="center"/>
    </xf>
    <xf numFmtId="0" fontId="6" fillId="0" borderId="0" xfId="0" applyFont="1" applyFill="1"/>
    <xf numFmtId="0" fontId="2" fillId="0" borderId="1" xfId="0" applyFont="1" applyBorder="1" applyAlignment="1">
      <alignment horizontal="justify" vertical="center" wrapText="1"/>
    </xf>
    <xf numFmtId="4" fontId="6" fillId="0" borderId="0" xfId="0" applyNumberFormat="1" applyFont="1"/>
    <xf numFmtId="4" fontId="8" fillId="0" borderId="0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/>
    </xf>
    <xf numFmtId="4" fontId="7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left" vertical="center" wrapText="1"/>
    </xf>
    <xf numFmtId="0" fontId="6" fillId="0" borderId="0" xfId="0" applyFont="1" applyBorder="1"/>
    <xf numFmtId="4" fontId="6" fillId="2" borderId="0" xfId="0" applyNumberFormat="1" applyFont="1" applyFill="1"/>
    <xf numFmtId="4" fontId="10" fillId="0" borderId="1" xfId="0" applyNumberFormat="1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/>
    <xf numFmtId="4" fontId="6" fillId="2" borderId="1" xfId="0" applyNumberFormat="1" applyFont="1" applyFill="1" applyBorder="1"/>
    <xf numFmtId="4" fontId="6" fillId="2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/>
    <xf numFmtId="0" fontId="3" fillId="2" borderId="0" xfId="0" applyFont="1" applyFill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8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7" fillId="2" borderId="0" xfId="0" applyFont="1" applyFill="1"/>
    <xf numFmtId="4" fontId="8" fillId="3" borderId="2" xfId="0" applyNumberFormat="1" applyFont="1" applyFill="1" applyBorder="1" applyAlignment="1">
      <alignment horizontal="right"/>
    </xf>
    <xf numFmtId="4" fontId="8" fillId="3" borderId="1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/>
    <xf numFmtId="0" fontId="8" fillId="0" borderId="0" xfId="0" applyFont="1" applyFill="1"/>
    <xf numFmtId="4" fontId="4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2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wrapText="1"/>
    </xf>
    <xf numFmtId="2" fontId="11" fillId="0" borderId="0" xfId="0" applyNumberFormat="1" applyFont="1"/>
    <xf numFmtId="0" fontId="1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justify" wrapText="1"/>
    </xf>
    <xf numFmtId="2" fontId="5" fillId="0" borderId="1" xfId="0" applyNumberFormat="1" applyFont="1" applyFill="1" applyBorder="1" applyAlignment="1">
      <alignment vertical="center" wrapText="1"/>
    </xf>
    <xf numFmtId="0" fontId="11" fillId="0" borderId="1" xfId="0" applyFont="1" applyBorder="1"/>
    <xf numFmtId="2" fontId="11" fillId="0" borderId="1" xfId="0" applyNumberFormat="1" applyFont="1" applyBorder="1" applyAlignment="1"/>
    <xf numFmtId="4" fontId="6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/>
    <xf numFmtId="164" fontId="10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Fill="1" applyAlignment="1">
      <alignment horizontal="left"/>
    </xf>
    <xf numFmtId="0" fontId="0" fillId="0" borderId="0" xfId="0" applyAlignment="1"/>
    <xf numFmtId="0" fontId="8" fillId="2" borderId="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right"/>
    </xf>
    <xf numFmtId="0" fontId="4" fillId="3" borderId="4" xfId="0" applyFont="1" applyFill="1" applyBorder="1" applyAlignment="1">
      <alignment horizontal="right"/>
    </xf>
    <xf numFmtId="0" fontId="4" fillId="3" borderId="5" xfId="0" applyFont="1" applyFill="1" applyBorder="1" applyAlignment="1">
      <alignment horizontal="right"/>
    </xf>
    <xf numFmtId="0" fontId="6" fillId="0" borderId="0" xfId="0" applyFont="1" applyBorder="1" applyAlignment="1">
      <alignment horizontal="center"/>
    </xf>
    <xf numFmtId="4" fontId="6" fillId="0" borderId="6" xfId="0" applyNumberFormat="1" applyFont="1" applyBorder="1" applyAlignment="1"/>
    <xf numFmtId="0" fontId="13" fillId="2" borderId="0" xfId="0" applyFont="1" applyFill="1" applyBorder="1" applyAlignment="1">
      <alignment horizontal="left"/>
    </xf>
    <xf numFmtId="2" fontId="8" fillId="0" borderId="8" xfId="0" applyNumberFormat="1" applyFont="1" applyFill="1" applyBorder="1" applyAlignment="1">
      <alignment horizontal="center" vertical="center"/>
    </xf>
    <xf numFmtId="0" fontId="8" fillId="0" borderId="0" xfId="0" applyFont="1" applyFill="1" applyAlignment="1"/>
    <xf numFmtId="0" fontId="13" fillId="0" borderId="0" xfId="0" applyFont="1" applyBorder="1" applyAlignment="1">
      <alignment horizontal="left"/>
    </xf>
    <xf numFmtId="0" fontId="8" fillId="3" borderId="1" xfId="0" applyFont="1" applyFill="1" applyBorder="1" applyAlignment="1">
      <alignment horizontal="right"/>
    </xf>
    <xf numFmtId="0" fontId="8" fillId="3" borderId="7" xfId="0" applyFont="1" applyFill="1" applyBorder="1" applyAlignment="1">
      <alignment horizontal="right"/>
    </xf>
    <xf numFmtId="0" fontId="7" fillId="3" borderId="4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2" fontId="11" fillId="0" borderId="2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4"/>
  <sheetViews>
    <sheetView tabSelected="1" topLeftCell="A15" zoomScale="75" zoomScaleNormal="75" workbookViewId="0">
      <selection activeCell="A2" sqref="A2:Q37"/>
    </sheetView>
  </sheetViews>
  <sheetFormatPr defaultColWidth="8.85546875" defaultRowHeight="15.75"/>
  <cols>
    <col min="1" max="1" width="15.85546875" style="1" customWidth="1"/>
    <col min="2" max="2" width="48" style="1" customWidth="1"/>
    <col min="3" max="3" width="22.5703125" style="1" customWidth="1"/>
    <col min="4" max="4" width="14.7109375" style="1" hidden="1" customWidth="1"/>
    <col min="5" max="5" width="12.42578125" style="1" customWidth="1"/>
    <col min="6" max="6" width="23.7109375" style="24" customWidth="1"/>
    <col min="7" max="7" width="15" style="24" hidden="1" customWidth="1"/>
    <col min="8" max="8" width="24" style="26" hidden="1" customWidth="1"/>
    <col min="9" max="9" width="15.5703125" style="26" hidden="1" customWidth="1"/>
    <col min="10" max="10" width="16" style="53" hidden="1" customWidth="1"/>
    <col min="11" max="11" width="10.85546875" style="26" hidden="1" customWidth="1"/>
    <col min="12" max="12" width="11.7109375" style="26" hidden="1" customWidth="1"/>
    <col min="13" max="13" width="14.140625" style="26" hidden="1" customWidth="1"/>
    <col min="14" max="15" width="0" style="1" hidden="1" customWidth="1"/>
    <col min="16" max="16" width="17.42578125" style="92" customWidth="1"/>
    <col min="17" max="16384" width="8.85546875" style="1"/>
  </cols>
  <sheetData>
    <row r="1" spans="1:23">
      <c r="F1" s="2"/>
      <c r="G1" s="2"/>
    </row>
    <row r="2" spans="1:23">
      <c r="B2" s="1" t="s">
        <v>82</v>
      </c>
      <c r="E2" s="98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</row>
    <row r="3" spans="1:23" s="3" customFormat="1" ht="18.75" customHeight="1">
      <c r="A3" s="100" t="s">
        <v>83</v>
      </c>
      <c r="B3" s="100"/>
      <c r="C3" s="100"/>
      <c r="D3" s="100"/>
      <c r="E3" s="100"/>
      <c r="F3" s="100"/>
      <c r="G3" s="100"/>
      <c r="H3" s="100"/>
      <c r="I3" s="100"/>
      <c r="J3" s="99"/>
      <c r="K3" s="99"/>
      <c r="L3" s="99"/>
      <c r="M3" s="99"/>
      <c r="N3" s="99"/>
      <c r="O3" s="99"/>
      <c r="P3" s="99"/>
    </row>
    <row r="4" spans="1:23" s="3" customFormat="1" ht="36" customHeight="1">
      <c r="A4" s="100"/>
      <c r="B4" s="100"/>
      <c r="C4" s="100"/>
      <c r="D4" s="100"/>
      <c r="E4" s="100"/>
      <c r="F4" s="100"/>
      <c r="G4" s="100"/>
      <c r="H4" s="100"/>
      <c r="I4" s="100"/>
      <c r="J4" s="99"/>
      <c r="K4" s="99"/>
      <c r="L4" s="99"/>
      <c r="M4" s="99"/>
      <c r="N4" s="99"/>
      <c r="O4" s="99"/>
      <c r="P4" s="99"/>
    </row>
    <row r="5" spans="1:23" ht="24.75" customHeight="1">
      <c r="A5" s="4"/>
      <c r="B5" s="4" t="s">
        <v>46</v>
      </c>
      <c r="C5" s="4" t="s">
        <v>0</v>
      </c>
      <c r="D5" s="5">
        <v>3813.7</v>
      </c>
      <c r="E5" s="4">
        <f>E8</f>
        <v>3813.7</v>
      </c>
      <c r="F5" s="6"/>
      <c r="G5" s="6"/>
      <c r="H5" s="27"/>
      <c r="I5" s="27"/>
      <c r="K5" s="27"/>
      <c r="L5" s="27"/>
    </row>
    <row r="6" spans="1:23" ht="20.25" customHeight="1">
      <c r="A6" s="109" t="s">
        <v>1</v>
      </c>
      <c r="B6" s="109"/>
      <c r="C6" s="109"/>
      <c r="D6" s="109"/>
      <c r="E6" s="109"/>
      <c r="F6" s="109"/>
      <c r="G6" s="109"/>
      <c r="H6" s="109"/>
      <c r="I6" s="109"/>
      <c r="K6" s="105"/>
      <c r="L6" s="105"/>
      <c r="M6" s="105"/>
    </row>
    <row r="7" spans="1:23" ht="53.45" customHeight="1">
      <c r="A7" s="7" t="s">
        <v>2</v>
      </c>
      <c r="B7" s="7" t="s">
        <v>3</v>
      </c>
      <c r="C7" s="7" t="s">
        <v>4</v>
      </c>
      <c r="D7" s="7" t="s">
        <v>5</v>
      </c>
      <c r="E7" s="7" t="s">
        <v>6</v>
      </c>
      <c r="F7" s="8" t="s">
        <v>50</v>
      </c>
      <c r="G7" s="8"/>
      <c r="H7" s="11" t="s">
        <v>8</v>
      </c>
      <c r="I7" s="11" t="s">
        <v>7</v>
      </c>
      <c r="J7" s="11" t="s">
        <v>44</v>
      </c>
      <c r="K7" s="34" t="s">
        <v>45</v>
      </c>
      <c r="L7" s="34"/>
      <c r="M7" s="33"/>
      <c r="N7" s="30"/>
      <c r="O7" s="84" t="s">
        <v>80</v>
      </c>
      <c r="P7" s="88" t="s">
        <v>44</v>
      </c>
      <c r="Q7" s="30"/>
      <c r="R7" s="31"/>
      <c r="S7" s="31"/>
      <c r="T7" s="31"/>
      <c r="U7" s="31"/>
      <c r="V7" s="31"/>
      <c r="W7" s="31"/>
    </row>
    <row r="8" spans="1:23" ht="63">
      <c r="A8" s="7">
        <v>1</v>
      </c>
      <c r="B8" s="9" t="s">
        <v>12</v>
      </c>
      <c r="C8" s="7" t="s">
        <v>13</v>
      </c>
      <c r="D8" s="10">
        <v>0.33</v>
      </c>
      <c r="E8" s="10">
        <v>3813.7</v>
      </c>
      <c r="F8" s="8" t="s">
        <v>14</v>
      </c>
      <c r="G8" s="8">
        <v>12</v>
      </c>
      <c r="H8" s="11">
        <f t="shared" ref="H8:H26" si="0">D8*E8</f>
        <v>1258.521</v>
      </c>
      <c r="I8" s="11">
        <f t="shared" ref="I8:I26" si="1">G8*H8</f>
        <v>15102.252</v>
      </c>
      <c r="J8" s="55">
        <f>I8/G8/E8</f>
        <v>0.33</v>
      </c>
      <c r="K8" s="34"/>
      <c r="L8" s="34"/>
      <c r="M8" s="35"/>
      <c r="O8" s="85">
        <f>J8*1.04</f>
        <v>0.34320000000000001</v>
      </c>
      <c r="P8" s="12">
        <f>O8*1.0296*1.092*1.072*1.09*1.058*1.054</f>
        <v>0.50278928442306281</v>
      </c>
    </row>
    <row r="9" spans="1:23" ht="63">
      <c r="A9" s="7">
        <f>A8+1</f>
        <v>2</v>
      </c>
      <c r="B9" s="9" t="s">
        <v>47</v>
      </c>
      <c r="C9" s="7" t="s">
        <v>13</v>
      </c>
      <c r="D9" s="10">
        <v>0.08</v>
      </c>
      <c r="E9" s="10">
        <v>3813.7</v>
      </c>
      <c r="F9" s="8" t="s">
        <v>14</v>
      </c>
      <c r="G9" s="8">
        <v>12</v>
      </c>
      <c r="H9" s="11">
        <f t="shared" si="0"/>
        <v>305.096</v>
      </c>
      <c r="I9" s="11">
        <f t="shared" si="1"/>
        <v>3661.152</v>
      </c>
      <c r="J9" s="55">
        <f t="shared" ref="J9:J26" si="2">I9/G9/E9</f>
        <v>0.08</v>
      </c>
      <c r="K9" s="34"/>
      <c r="L9" s="34"/>
      <c r="M9" s="35"/>
      <c r="O9" s="85">
        <f t="shared" ref="O9:O26" si="3">J9*1.04</f>
        <v>8.320000000000001E-2</v>
      </c>
      <c r="P9" s="12">
        <f t="shared" ref="P9:P22" si="4">O9*1.0296*1.092*1.072*1.09*1.058*1.054</f>
        <v>0.12188831137528795</v>
      </c>
    </row>
    <row r="10" spans="1:23" ht="63">
      <c r="A10" s="7">
        <f t="shared" ref="A10:A26" si="5">A9+1</f>
        <v>3</v>
      </c>
      <c r="B10" s="9" t="s">
        <v>16</v>
      </c>
      <c r="C10" s="7" t="s">
        <v>15</v>
      </c>
      <c r="D10" s="10">
        <v>0.16</v>
      </c>
      <c r="E10" s="10">
        <v>3813.7</v>
      </c>
      <c r="F10" s="8" t="s">
        <v>14</v>
      </c>
      <c r="G10" s="8">
        <v>12</v>
      </c>
      <c r="H10" s="11">
        <f t="shared" si="0"/>
        <v>610.19200000000001</v>
      </c>
      <c r="I10" s="11">
        <f t="shared" si="1"/>
        <v>7322.3040000000001</v>
      </c>
      <c r="J10" s="55">
        <f t="shared" si="2"/>
        <v>0.16</v>
      </c>
      <c r="K10" s="34"/>
      <c r="L10" s="34"/>
      <c r="M10" s="35"/>
      <c r="O10" s="85">
        <f t="shared" si="3"/>
        <v>0.16640000000000002</v>
      </c>
      <c r="P10" s="12">
        <f t="shared" si="4"/>
        <v>0.24377662275057591</v>
      </c>
    </row>
    <row r="11" spans="1:23" ht="30" customHeight="1">
      <c r="A11" s="7">
        <f t="shared" si="5"/>
        <v>4</v>
      </c>
      <c r="B11" s="9" t="s">
        <v>17</v>
      </c>
      <c r="C11" s="7" t="s">
        <v>18</v>
      </c>
      <c r="D11" s="10">
        <v>7.0000000000000007E-2</v>
      </c>
      <c r="E11" s="10">
        <v>3813.7</v>
      </c>
      <c r="F11" s="8" t="s">
        <v>14</v>
      </c>
      <c r="G11" s="8">
        <v>12</v>
      </c>
      <c r="H11" s="11">
        <f t="shared" si="0"/>
        <v>266.959</v>
      </c>
      <c r="I11" s="11">
        <f t="shared" si="1"/>
        <v>3203.5079999999998</v>
      </c>
      <c r="J11" s="55">
        <f t="shared" si="2"/>
        <v>7.0000000000000007E-2</v>
      </c>
      <c r="K11" s="34"/>
      <c r="L11" s="34"/>
      <c r="M11" s="35"/>
      <c r="O11" s="85">
        <f t="shared" si="3"/>
        <v>7.2800000000000004E-2</v>
      </c>
      <c r="P11" s="12">
        <f t="shared" si="4"/>
        <v>0.10665227245337695</v>
      </c>
    </row>
    <row r="12" spans="1:23" ht="78.75">
      <c r="A12" s="7">
        <f t="shared" si="5"/>
        <v>5</v>
      </c>
      <c r="B12" s="9" t="s">
        <v>19</v>
      </c>
      <c r="C12" s="7" t="s">
        <v>20</v>
      </c>
      <c r="D12" s="10">
        <v>0.04</v>
      </c>
      <c r="E12" s="10">
        <v>3813.7</v>
      </c>
      <c r="F12" s="8" t="s">
        <v>14</v>
      </c>
      <c r="G12" s="8">
        <v>12</v>
      </c>
      <c r="H12" s="11">
        <f t="shared" si="0"/>
        <v>152.548</v>
      </c>
      <c r="I12" s="11">
        <f t="shared" si="1"/>
        <v>1830.576</v>
      </c>
      <c r="J12" s="55">
        <f t="shared" si="2"/>
        <v>0.04</v>
      </c>
      <c r="K12" s="34"/>
      <c r="L12" s="34"/>
      <c r="M12" s="35"/>
      <c r="O12" s="85">
        <f t="shared" si="3"/>
        <v>4.1600000000000005E-2</v>
      </c>
      <c r="P12" s="12">
        <f t="shared" si="4"/>
        <v>6.0944155687643976E-2</v>
      </c>
    </row>
    <row r="13" spans="1:23" ht="63">
      <c r="A13" s="7">
        <f t="shared" si="5"/>
        <v>6</v>
      </c>
      <c r="B13" s="9" t="s">
        <v>22</v>
      </c>
      <c r="C13" s="7" t="s">
        <v>23</v>
      </c>
      <c r="D13" s="10">
        <v>0.2</v>
      </c>
      <c r="E13" s="10">
        <v>3813.7</v>
      </c>
      <c r="F13" s="8" t="s">
        <v>14</v>
      </c>
      <c r="G13" s="8">
        <v>12</v>
      </c>
      <c r="H13" s="11">
        <f t="shared" si="0"/>
        <v>762.74</v>
      </c>
      <c r="I13" s="11">
        <f t="shared" si="1"/>
        <v>9152.880000000001</v>
      </c>
      <c r="J13" s="55">
        <f t="shared" si="2"/>
        <v>0.20000000000000004</v>
      </c>
      <c r="K13" s="34"/>
      <c r="L13" s="34"/>
      <c r="M13" s="35"/>
      <c r="O13" s="85">
        <f t="shared" si="3"/>
        <v>0.20800000000000005</v>
      </c>
      <c r="P13" s="12">
        <f t="shared" si="4"/>
        <v>0.30472077843821993</v>
      </c>
    </row>
    <row r="14" spans="1:23" ht="63">
      <c r="A14" s="7">
        <f t="shared" si="5"/>
        <v>7</v>
      </c>
      <c r="B14" s="9" t="s">
        <v>49</v>
      </c>
      <c r="C14" s="7" t="s">
        <v>25</v>
      </c>
      <c r="D14" s="10">
        <v>0.18000000000000002</v>
      </c>
      <c r="E14" s="10">
        <v>3813.7</v>
      </c>
      <c r="F14" s="8" t="s">
        <v>14</v>
      </c>
      <c r="G14" s="8">
        <v>12</v>
      </c>
      <c r="H14" s="11">
        <f t="shared" si="0"/>
        <v>686.46600000000001</v>
      </c>
      <c r="I14" s="11">
        <f t="shared" si="1"/>
        <v>8237.5920000000006</v>
      </c>
      <c r="J14" s="55">
        <f t="shared" si="2"/>
        <v>0.18000000000000002</v>
      </c>
      <c r="K14" s="34"/>
      <c r="L14" s="34"/>
      <c r="M14" s="35"/>
      <c r="O14" s="85">
        <f t="shared" si="3"/>
        <v>0.18720000000000003</v>
      </c>
      <c r="P14" s="12">
        <f t="shared" si="4"/>
        <v>0.27424870059439793</v>
      </c>
    </row>
    <row r="15" spans="1:23" ht="63">
      <c r="A15" s="7">
        <f t="shared" si="5"/>
        <v>8</v>
      </c>
      <c r="B15" s="25" t="s">
        <v>43</v>
      </c>
      <c r="C15" s="7" t="s">
        <v>25</v>
      </c>
      <c r="D15" s="10">
        <v>0.19</v>
      </c>
      <c r="E15" s="10">
        <v>3813.7</v>
      </c>
      <c r="F15" s="8" t="s">
        <v>14</v>
      </c>
      <c r="G15" s="8">
        <v>12</v>
      </c>
      <c r="H15" s="11">
        <f t="shared" si="0"/>
        <v>724.60299999999995</v>
      </c>
      <c r="I15" s="11">
        <f t="shared" si="1"/>
        <v>8695.235999999999</v>
      </c>
      <c r="J15" s="55">
        <f t="shared" si="2"/>
        <v>0.19</v>
      </c>
      <c r="K15" s="34"/>
      <c r="L15" s="34"/>
      <c r="M15" s="35"/>
      <c r="O15" s="85">
        <f t="shared" si="3"/>
        <v>0.1976</v>
      </c>
      <c r="P15" s="12">
        <f t="shared" si="4"/>
        <v>0.28948473951630888</v>
      </c>
    </row>
    <row r="16" spans="1:23" ht="33" customHeight="1">
      <c r="A16" s="7">
        <f t="shared" si="5"/>
        <v>9</v>
      </c>
      <c r="B16" s="9" t="s">
        <v>48</v>
      </c>
      <c r="C16" s="7" t="s">
        <v>13</v>
      </c>
      <c r="D16" s="10">
        <v>0.52</v>
      </c>
      <c r="E16" s="10">
        <v>3813.7</v>
      </c>
      <c r="F16" s="13" t="s">
        <v>51</v>
      </c>
      <c r="G16" s="8">
        <v>12</v>
      </c>
      <c r="H16" s="11">
        <f t="shared" si="0"/>
        <v>1983.124</v>
      </c>
      <c r="I16" s="11">
        <f t="shared" si="1"/>
        <v>23797.488000000001</v>
      </c>
      <c r="J16" s="55">
        <f t="shared" si="2"/>
        <v>0.52</v>
      </c>
      <c r="K16" s="34"/>
      <c r="L16" s="34"/>
      <c r="M16" s="35"/>
      <c r="O16" s="85">
        <f t="shared" si="3"/>
        <v>0.54080000000000006</v>
      </c>
      <c r="P16" s="12">
        <f t="shared" si="4"/>
        <v>0.79227402393937174</v>
      </c>
    </row>
    <row r="17" spans="1:16" ht="33" customHeight="1">
      <c r="A17" s="7">
        <f t="shared" si="5"/>
        <v>10</v>
      </c>
      <c r="B17" s="9" t="s">
        <v>26</v>
      </c>
      <c r="C17" s="7" t="s">
        <v>13</v>
      </c>
      <c r="D17" s="10">
        <v>0.44</v>
      </c>
      <c r="E17" s="10">
        <v>3813.7</v>
      </c>
      <c r="F17" s="13" t="s">
        <v>51</v>
      </c>
      <c r="G17" s="8">
        <v>12</v>
      </c>
      <c r="H17" s="11">
        <f t="shared" si="0"/>
        <v>1678.028</v>
      </c>
      <c r="I17" s="11">
        <f t="shared" si="1"/>
        <v>20136.335999999999</v>
      </c>
      <c r="J17" s="55">
        <f t="shared" si="2"/>
        <v>0.44</v>
      </c>
      <c r="K17" s="34"/>
      <c r="L17" s="34"/>
      <c r="M17" s="35"/>
      <c r="O17" s="85">
        <f t="shared" si="3"/>
        <v>0.45760000000000001</v>
      </c>
      <c r="P17" s="12">
        <f t="shared" si="4"/>
        <v>0.67038571256408375</v>
      </c>
    </row>
    <row r="18" spans="1:16" ht="41.25" customHeight="1">
      <c r="A18" s="7">
        <f t="shared" si="5"/>
        <v>11</v>
      </c>
      <c r="B18" s="9" t="s">
        <v>27</v>
      </c>
      <c r="C18" s="7" t="s">
        <v>25</v>
      </c>
      <c r="D18" s="10">
        <v>0.05</v>
      </c>
      <c r="E18" s="10">
        <v>3813.7</v>
      </c>
      <c r="F18" s="8" t="s">
        <v>28</v>
      </c>
      <c r="G18" s="8">
        <v>12</v>
      </c>
      <c r="H18" s="11">
        <f t="shared" si="0"/>
        <v>190.685</v>
      </c>
      <c r="I18" s="11">
        <f t="shared" si="1"/>
        <v>2288.2200000000003</v>
      </c>
      <c r="J18" s="55">
        <f t="shared" si="2"/>
        <v>5.000000000000001E-2</v>
      </c>
      <c r="K18" s="34"/>
      <c r="L18" s="34"/>
      <c r="M18" s="35"/>
      <c r="O18" s="85">
        <f t="shared" si="3"/>
        <v>5.2000000000000011E-2</v>
      </c>
      <c r="P18" s="12">
        <f t="shared" si="4"/>
        <v>7.6180194609554983E-2</v>
      </c>
    </row>
    <row r="19" spans="1:16" ht="81.599999999999994" customHeight="1">
      <c r="A19" s="7">
        <f t="shared" si="5"/>
        <v>12</v>
      </c>
      <c r="B19" s="9" t="s">
        <v>29</v>
      </c>
      <c r="C19" s="7" t="s">
        <v>25</v>
      </c>
      <c r="D19" s="10">
        <v>0.08</v>
      </c>
      <c r="E19" s="10">
        <v>3813.7</v>
      </c>
      <c r="F19" s="8" t="s">
        <v>58</v>
      </c>
      <c r="G19" s="8">
        <v>12</v>
      </c>
      <c r="H19" s="11">
        <f t="shared" si="0"/>
        <v>305.096</v>
      </c>
      <c r="I19" s="11">
        <f t="shared" si="1"/>
        <v>3661.152</v>
      </c>
      <c r="J19" s="55">
        <f t="shared" si="2"/>
        <v>0.08</v>
      </c>
      <c r="K19" s="34"/>
      <c r="L19" s="34"/>
      <c r="M19" s="35"/>
      <c r="O19" s="85">
        <f t="shared" si="3"/>
        <v>8.320000000000001E-2</v>
      </c>
      <c r="P19" s="12">
        <f t="shared" si="4"/>
        <v>0.12188831137528795</v>
      </c>
    </row>
    <row r="20" spans="1:16" ht="16.5">
      <c r="A20" s="7">
        <f t="shared" si="5"/>
        <v>13</v>
      </c>
      <c r="B20" s="39" t="s">
        <v>52</v>
      </c>
      <c r="C20" s="7" t="s">
        <v>30</v>
      </c>
      <c r="D20" s="10">
        <v>0.26</v>
      </c>
      <c r="E20" s="10">
        <v>3813.7</v>
      </c>
      <c r="F20" s="8" t="s">
        <v>21</v>
      </c>
      <c r="G20" s="8">
        <v>12</v>
      </c>
      <c r="H20" s="11">
        <f t="shared" si="0"/>
        <v>991.56200000000001</v>
      </c>
      <c r="I20" s="11">
        <f t="shared" si="1"/>
        <v>11898.744000000001</v>
      </c>
      <c r="J20" s="55">
        <f t="shared" si="2"/>
        <v>0.26</v>
      </c>
      <c r="K20" s="34"/>
      <c r="L20" s="34"/>
      <c r="M20" s="35"/>
      <c r="O20" s="85">
        <f t="shared" si="3"/>
        <v>0.27040000000000003</v>
      </c>
      <c r="P20" s="12">
        <f t="shared" si="4"/>
        <v>0.39613701196968587</v>
      </c>
    </row>
    <row r="21" spans="1:16" ht="31.5">
      <c r="A21" s="7">
        <f t="shared" si="5"/>
        <v>14</v>
      </c>
      <c r="B21" s="9" t="s">
        <v>54</v>
      </c>
      <c r="C21" s="7" t="s">
        <v>31</v>
      </c>
      <c r="D21" s="10">
        <v>1.99</v>
      </c>
      <c r="E21" s="10">
        <v>3813.7</v>
      </c>
      <c r="F21" s="13" t="s">
        <v>51</v>
      </c>
      <c r="G21" s="8">
        <v>12</v>
      </c>
      <c r="H21" s="11">
        <f t="shared" si="0"/>
        <v>7589.2629999999999</v>
      </c>
      <c r="I21" s="11">
        <f t="shared" si="1"/>
        <v>91071.156000000003</v>
      </c>
      <c r="J21" s="55">
        <f t="shared" si="2"/>
        <v>1.99</v>
      </c>
      <c r="K21" s="34">
        <v>603</v>
      </c>
      <c r="L21" s="34">
        <f>(5620.73+800+42.41)*12</f>
        <v>77557.679999999993</v>
      </c>
      <c r="M21" s="35">
        <f>L21*0.06+L21</f>
        <v>82211.140799999994</v>
      </c>
      <c r="O21" s="85">
        <f t="shared" si="3"/>
        <v>2.0695999999999999</v>
      </c>
      <c r="P21" s="12">
        <f t="shared" si="4"/>
        <v>3.0319717454602872</v>
      </c>
    </row>
    <row r="22" spans="1:16" ht="47.25">
      <c r="A22" s="7">
        <f t="shared" si="5"/>
        <v>15</v>
      </c>
      <c r="B22" s="25" t="s">
        <v>78</v>
      </c>
      <c r="C22" s="7" t="s">
        <v>32</v>
      </c>
      <c r="D22" s="10">
        <v>3.5</v>
      </c>
      <c r="E22" s="10">
        <v>3813.7</v>
      </c>
      <c r="F22" s="8" t="s">
        <v>33</v>
      </c>
      <c r="G22" s="8">
        <v>12</v>
      </c>
      <c r="H22" s="11">
        <f t="shared" si="0"/>
        <v>13347.949999999999</v>
      </c>
      <c r="I22" s="11">
        <f t="shared" si="1"/>
        <v>160175.4</v>
      </c>
      <c r="J22" s="55">
        <f t="shared" si="2"/>
        <v>3.5</v>
      </c>
      <c r="K22" s="34">
        <v>852.15</v>
      </c>
      <c r="L22" s="34">
        <f>(6931.85+800+488.82)*12</f>
        <v>98648.040000000008</v>
      </c>
      <c r="M22" s="35">
        <f>L22*0.06+L22</f>
        <v>104566.92240000001</v>
      </c>
      <c r="O22" s="85">
        <f t="shared" si="3"/>
        <v>3.64</v>
      </c>
      <c r="P22" s="12">
        <f t="shared" si="4"/>
        <v>5.3326136226688474</v>
      </c>
    </row>
    <row r="23" spans="1:16" ht="31.5">
      <c r="A23" s="7">
        <f t="shared" si="5"/>
        <v>16</v>
      </c>
      <c r="B23" s="14" t="s">
        <v>34</v>
      </c>
      <c r="C23" s="15" t="s">
        <v>35</v>
      </c>
      <c r="D23" s="96">
        <f>5961.66*1.09*1.058*1.054</f>
        <v>7246.3612446408015</v>
      </c>
      <c r="E23" s="10">
        <v>2</v>
      </c>
      <c r="F23" s="13" t="s">
        <v>51</v>
      </c>
      <c r="G23" s="8">
        <v>12</v>
      </c>
      <c r="H23" s="11">
        <f t="shared" si="0"/>
        <v>14492.722489281603</v>
      </c>
      <c r="I23" s="11">
        <f t="shared" si="1"/>
        <v>173912.66987137924</v>
      </c>
      <c r="J23" s="55">
        <f>I23/G23/D5</f>
        <v>3.8001737130035407</v>
      </c>
      <c r="K23" s="34"/>
      <c r="L23" s="34"/>
      <c r="M23" s="35"/>
      <c r="O23" s="85">
        <f t="shared" si="3"/>
        <v>3.9521806615236823</v>
      </c>
      <c r="P23" s="12">
        <f>D23*E23/E22</f>
        <v>3.8001737130035407</v>
      </c>
    </row>
    <row r="24" spans="1:16">
      <c r="A24" s="7">
        <f t="shared" si="5"/>
        <v>17</v>
      </c>
      <c r="B24" s="14" t="s">
        <v>36</v>
      </c>
      <c r="C24" s="15" t="s">
        <v>13</v>
      </c>
      <c r="D24" s="10">
        <v>1.74</v>
      </c>
      <c r="E24" s="10">
        <v>3813.7</v>
      </c>
      <c r="F24" s="13" t="s">
        <v>51</v>
      </c>
      <c r="G24" s="8">
        <v>12</v>
      </c>
      <c r="H24" s="11">
        <f t="shared" si="0"/>
        <v>6635.8379999999997</v>
      </c>
      <c r="I24" s="11">
        <f t="shared" si="1"/>
        <v>79630.055999999997</v>
      </c>
      <c r="J24" s="55">
        <f t="shared" si="2"/>
        <v>1.74</v>
      </c>
      <c r="K24" s="34"/>
      <c r="L24" s="34"/>
      <c r="M24" s="35"/>
      <c r="O24" s="85">
        <f t="shared" si="3"/>
        <v>1.8096000000000001</v>
      </c>
      <c r="P24" s="12">
        <f>O24*1.0296*1.092*1.072*1.09*1.058*1.054</f>
        <v>2.6510707724125129</v>
      </c>
    </row>
    <row r="25" spans="1:16">
      <c r="A25" s="7">
        <f t="shared" si="5"/>
        <v>18</v>
      </c>
      <c r="B25" s="14" t="s">
        <v>37</v>
      </c>
      <c r="C25" s="15" t="s">
        <v>38</v>
      </c>
      <c r="D25" s="10">
        <v>0.24000000000000002</v>
      </c>
      <c r="E25" s="10">
        <v>3813.7</v>
      </c>
      <c r="F25" s="13" t="s">
        <v>51</v>
      </c>
      <c r="G25" s="8">
        <v>12</v>
      </c>
      <c r="H25" s="11">
        <f t="shared" si="0"/>
        <v>915.28800000000001</v>
      </c>
      <c r="I25" s="11">
        <f t="shared" si="1"/>
        <v>10983.456</v>
      </c>
      <c r="J25" s="55">
        <f t="shared" si="2"/>
        <v>0.24000000000000002</v>
      </c>
      <c r="K25" s="34"/>
      <c r="L25" s="34"/>
      <c r="M25" s="35"/>
      <c r="O25" s="85">
        <f t="shared" si="3"/>
        <v>0.24960000000000002</v>
      </c>
      <c r="P25" s="12">
        <f t="shared" ref="P25:P26" si="6">O25*1.0296*1.092*1.072*1.09*1.058*1.054</f>
        <v>0.36566493412586382</v>
      </c>
    </row>
    <row r="26" spans="1:16" ht="42.75" customHeight="1">
      <c r="A26" s="7">
        <f t="shared" si="5"/>
        <v>19</v>
      </c>
      <c r="B26" s="97" t="s">
        <v>39</v>
      </c>
      <c r="C26" s="12" t="s">
        <v>13</v>
      </c>
      <c r="D26" s="10">
        <v>1.3800000000000001</v>
      </c>
      <c r="E26" s="10">
        <v>3813.7</v>
      </c>
      <c r="F26" s="13" t="s">
        <v>51</v>
      </c>
      <c r="G26" s="8">
        <v>12</v>
      </c>
      <c r="H26" s="11">
        <f t="shared" si="0"/>
        <v>5262.9059999999999</v>
      </c>
      <c r="I26" s="11">
        <f t="shared" si="1"/>
        <v>63154.872000000003</v>
      </c>
      <c r="J26" s="55">
        <f t="shared" si="2"/>
        <v>1.3800000000000001</v>
      </c>
      <c r="K26" s="34"/>
      <c r="L26" s="34"/>
      <c r="M26" s="35"/>
      <c r="O26" s="85">
        <f t="shared" si="3"/>
        <v>1.4352000000000003</v>
      </c>
      <c r="P26" s="12">
        <f t="shared" si="6"/>
        <v>2.1025733712237176</v>
      </c>
    </row>
    <row r="27" spans="1:16" s="42" customFormat="1">
      <c r="A27" s="110" t="s">
        <v>53</v>
      </c>
      <c r="B27" s="111"/>
      <c r="C27" s="110"/>
      <c r="D27" s="110"/>
      <c r="E27" s="110"/>
      <c r="F27" s="110"/>
      <c r="G27" s="47">
        <f>I27/12/D5</f>
        <v>15.250173713003543</v>
      </c>
      <c r="H27" s="48">
        <f>SUM(H8:H26)</f>
        <v>58159.587489281606</v>
      </c>
      <c r="I27" s="48">
        <f>SUM(I8:I26)</f>
        <v>697915.04987137928</v>
      </c>
      <c r="J27" s="48">
        <f>SUM(J8:J26)</f>
        <v>15.250173713003543</v>
      </c>
      <c r="K27" s="48">
        <f t="shared" ref="K27:P27" si="7">SUM(K8:K26)</f>
        <v>1455.15</v>
      </c>
      <c r="L27" s="48">
        <f t="shared" si="7"/>
        <v>176205.72</v>
      </c>
      <c r="M27" s="48">
        <f t="shared" si="7"/>
        <v>186778.0632</v>
      </c>
      <c r="N27" s="48">
        <f t="shared" si="7"/>
        <v>0</v>
      </c>
      <c r="O27" s="48">
        <f t="shared" si="7"/>
        <v>15.860180661523682</v>
      </c>
      <c r="P27" s="90">
        <f t="shared" si="7"/>
        <v>21.245438278591628</v>
      </c>
    </row>
    <row r="28" spans="1:16" s="3" customFormat="1">
      <c r="A28" s="106" t="s">
        <v>40</v>
      </c>
      <c r="B28" s="106"/>
      <c r="C28" s="106"/>
      <c r="D28" s="106"/>
      <c r="E28" s="106"/>
      <c r="F28" s="106"/>
      <c r="G28" s="106"/>
      <c r="H28" s="106"/>
      <c r="I28" s="106"/>
      <c r="J28" s="54"/>
      <c r="K28" s="32"/>
      <c r="L28" s="32"/>
      <c r="M28" s="32"/>
      <c r="O28" s="86"/>
      <c r="P28" s="93"/>
    </row>
    <row r="29" spans="1:16" s="3" customFormat="1" ht="56.25" customHeight="1">
      <c r="A29" s="43" t="s">
        <v>2</v>
      </c>
      <c r="B29" s="43" t="s">
        <v>3</v>
      </c>
      <c r="C29" s="43" t="s">
        <v>4</v>
      </c>
      <c r="D29" s="43" t="s">
        <v>5</v>
      </c>
      <c r="E29" s="43" t="s">
        <v>6</v>
      </c>
      <c r="F29" s="44" t="s">
        <v>50</v>
      </c>
      <c r="G29" s="44"/>
      <c r="H29" s="37" t="s">
        <v>8</v>
      </c>
      <c r="I29" s="37" t="s">
        <v>7</v>
      </c>
      <c r="J29" s="37" t="s">
        <v>44</v>
      </c>
      <c r="K29" s="37"/>
      <c r="L29" s="37"/>
      <c r="M29" s="36"/>
      <c r="O29" s="86" t="s">
        <v>80</v>
      </c>
      <c r="P29" s="17" t="s">
        <v>44</v>
      </c>
    </row>
    <row r="30" spans="1:16" s="3" customFormat="1" ht="28.15" customHeight="1">
      <c r="A30" s="43">
        <v>1</v>
      </c>
      <c r="B30" s="45" t="s">
        <v>40</v>
      </c>
      <c r="C30" s="12" t="s">
        <v>13</v>
      </c>
      <c r="D30" s="17">
        <v>3.14</v>
      </c>
      <c r="E30" s="43">
        <v>3813.7</v>
      </c>
      <c r="F30" s="44" t="s">
        <v>41</v>
      </c>
      <c r="G30" s="44">
        <v>12</v>
      </c>
      <c r="H30" s="37"/>
      <c r="I30" s="37">
        <f>D30*E30*G30</f>
        <v>143700.21600000001</v>
      </c>
      <c r="J30" s="56">
        <f>I30/G30/E30</f>
        <v>3.1400000000000006</v>
      </c>
      <c r="K30" s="37"/>
      <c r="L30" s="37"/>
      <c r="M30" s="36"/>
      <c r="O30" s="86">
        <f>J30*1.04</f>
        <v>3.2656000000000005</v>
      </c>
      <c r="P30" s="12">
        <f>((O30*1.0296*1.092*1.072+2.02)*1.09+0.02)*1.058*1.054</f>
        <v>7.2617164990800518</v>
      </c>
    </row>
    <row r="31" spans="1:16" s="3" customFormat="1" ht="36.6" customHeight="1">
      <c r="A31" s="43">
        <v>2</v>
      </c>
      <c r="B31" s="41" t="s">
        <v>9</v>
      </c>
      <c r="C31" s="43" t="s">
        <v>10</v>
      </c>
      <c r="D31" s="96">
        <f>16.41*1.072*1.083*1.058*1.054</f>
        <v>21.245066831733123</v>
      </c>
      <c r="E31" s="17">
        <v>1680</v>
      </c>
      <c r="F31" s="44" t="s">
        <v>41</v>
      </c>
      <c r="G31" s="44">
        <v>1</v>
      </c>
      <c r="H31" s="37">
        <f>D31*E31</f>
        <v>35691.71227731165</v>
      </c>
      <c r="I31" s="37">
        <f>G31*H31</f>
        <v>35691.71227731165</v>
      </c>
      <c r="J31" s="56">
        <f>I31/12/E30</f>
        <v>0.77990123933257405</v>
      </c>
      <c r="K31" s="37"/>
      <c r="L31" s="37"/>
      <c r="M31" s="36"/>
      <c r="O31" s="86">
        <f t="shared" ref="O31:O32" si="8">J31*1.04</f>
        <v>0.81109728890587707</v>
      </c>
      <c r="P31" s="12">
        <f>D31*E31/E30/12</f>
        <v>0.77990123933257405</v>
      </c>
    </row>
    <row r="32" spans="1:16" s="3" customFormat="1" ht="34.5" customHeight="1">
      <c r="A32" s="43">
        <f>A31+1</f>
        <v>3</v>
      </c>
      <c r="B32" s="41" t="s">
        <v>11</v>
      </c>
      <c r="C32" s="43" t="s">
        <v>10</v>
      </c>
      <c r="D32" s="96">
        <f>11.88*1.072*1.083*1.058*1.054</f>
        <v>15.380340887324163</v>
      </c>
      <c r="E32" s="17">
        <v>1680</v>
      </c>
      <c r="F32" s="44" t="s">
        <v>41</v>
      </c>
      <c r="G32" s="44">
        <v>1</v>
      </c>
      <c r="H32" s="37">
        <f>D32*E32</f>
        <v>25838.972690704595</v>
      </c>
      <c r="I32" s="37">
        <f>G32*H32</f>
        <v>25838.972690704595</v>
      </c>
      <c r="J32" s="56">
        <f>I32/12/E30</f>
        <v>0.56460857545831689</v>
      </c>
      <c r="K32" s="37"/>
      <c r="L32" s="37"/>
      <c r="M32" s="36"/>
      <c r="O32" s="86">
        <f t="shared" si="8"/>
        <v>0.58719291847664956</v>
      </c>
      <c r="P32" s="12">
        <f>D32*E32/E30/12</f>
        <v>0.56460857545831689</v>
      </c>
    </row>
    <row r="33" spans="1:17" s="46" customFormat="1">
      <c r="A33" s="112" t="s">
        <v>42</v>
      </c>
      <c r="B33" s="112"/>
      <c r="C33" s="112"/>
      <c r="D33" s="112"/>
      <c r="E33" s="112"/>
      <c r="F33" s="112"/>
      <c r="G33" s="49"/>
      <c r="H33" s="50">
        <f>H30</f>
        <v>0</v>
      </c>
      <c r="I33" s="50">
        <f>SUM(I30:I32)</f>
        <v>205230.90096801627</v>
      </c>
      <c r="J33" s="50">
        <f>SUM(J30:J32)</f>
        <v>4.4845098147908917</v>
      </c>
      <c r="K33" s="50">
        <f t="shared" ref="K33:O33" si="9">SUM(K30:K32)</f>
        <v>0</v>
      </c>
      <c r="L33" s="50">
        <f t="shared" si="9"/>
        <v>0</v>
      </c>
      <c r="M33" s="50">
        <f t="shared" si="9"/>
        <v>0</v>
      </c>
      <c r="N33" s="50">
        <f t="shared" si="9"/>
        <v>0</v>
      </c>
      <c r="O33" s="50">
        <f t="shared" si="9"/>
        <v>4.6638902073825266</v>
      </c>
      <c r="P33" s="89">
        <f>SUM(P30:P32)-0.01</f>
        <v>8.5962263138709432</v>
      </c>
    </row>
    <row r="34" spans="1:17" s="42" customFormat="1">
      <c r="A34" s="110" t="s">
        <v>57</v>
      </c>
      <c r="B34" s="110"/>
      <c r="C34" s="110"/>
      <c r="D34" s="110"/>
      <c r="E34" s="110"/>
      <c r="F34" s="110"/>
      <c r="G34" s="51">
        <f>I34/12/E30</f>
        <v>19.734683527794431</v>
      </c>
      <c r="H34" s="52"/>
      <c r="I34" s="52">
        <f>I27+I33</f>
        <v>903145.95083939552</v>
      </c>
      <c r="J34" s="52">
        <f>J27+J33</f>
        <v>19.734683527794434</v>
      </c>
      <c r="K34" s="52">
        <f t="shared" ref="K34:O34" si="10">K27+K33</f>
        <v>1455.15</v>
      </c>
      <c r="L34" s="52">
        <f t="shared" si="10"/>
        <v>176205.72</v>
      </c>
      <c r="M34" s="52">
        <f t="shared" si="10"/>
        <v>186778.0632</v>
      </c>
      <c r="N34" s="52">
        <f t="shared" si="10"/>
        <v>0</v>
      </c>
      <c r="O34" s="52">
        <f t="shared" si="10"/>
        <v>20.524070868906207</v>
      </c>
      <c r="P34" s="90">
        <f>P27+P33+0.01</f>
        <v>29.851664592462573</v>
      </c>
    </row>
    <row r="35" spans="1:17" s="60" customFormat="1">
      <c r="A35" s="106" t="s">
        <v>56</v>
      </c>
      <c r="B35" s="106"/>
      <c r="C35" s="106"/>
      <c r="D35" s="106"/>
      <c r="E35" s="106"/>
      <c r="F35" s="106"/>
      <c r="G35" s="106"/>
      <c r="H35" s="106"/>
      <c r="I35" s="106"/>
      <c r="J35" s="58"/>
      <c r="K35" s="59"/>
      <c r="L35" s="59"/>
      <c r="M35" s="59"/>
      <c r="O35" s="87"/>
      <c r="P35" s="107"/>
      <c r="Q35" s="108"/>
    </row>
    <row r="36" spans="1:17" s="60" customFormat="1" ht="63">
      <c r="A36" s="40">
        <v>1</v>
      </c>
      <c r="B36" s="41" t="s">
        <v>81</v>
      </c>
      <c r="C36" s="16" t="s">
        <v>13</v>
      </c>
      <c r="D36" s="17">
        <v>2.87</v>
      </c>
      <c r="E36" s="10">
        <v>3813.7</v>
      </c>
      <c r="F36" s="13" t="s">
        <v>24</v>
      </c>
      <c r="G36" s="8">
        <v>12</v>
      </c>
      <c r="H36" s="11">
        <f>D36*E36</f>
        <v>10945.319</v>
      </c>
      <c r="I36" s="11">
        <f>G36*H36</f>
        <v>131343.82799999998</v>
      </c>
      <c r="J36" s="55">
        <f>I36/G36/E36</f>
        <v>2.8699999999999997</v>
      </c>
      <c r="K36" s="59"/>
      <c r="L36" s="59"/>
      <c r="M36" s="59"/>
      <c r="O36" s="87">
        <v>2.87</v>
      </c>
      <c r="P36" s="91">
        <v>4.0599999999999996</v>
      </c>
    </row>
    <row r="37" spans="1:17" s="60" customFormat="1" ht="13.5" customHeight="1">
      <c r="A37" s="101" t="s">
        <v>79</v>
      </c>
      <c r="B37" s="102"/>
      <c r="C37" s="102"/>
      <c r="D37" s="102"/>
      <c r="E37" s="102"/>
      <c r="F37" s="103"/>
      <c r="G37" s="61">
        <f>G34+D36</f>
        <v>22.604683527794432</v>
      </c>
      <c r="H37" s="62"/>
      <c r="I37" s="63"/>
      <c r="J37" s="63">
        <f>J36+J34</f>
        <v>22.604683527794435</v>
      </c>
      <c r="K37" s="63">
        <f t="shared" ref="K37:P37" si="11">K36+K34</f>
        <v>1455.15</v>
      </c>
      <c r="L37" s="63">
        <f t="shared" si="11"/>
        <v>176205.72</v>
      </c>
      <c r="M37" s="63">
        <f t="shared" si="11"/>
        <v>186778.0632</v>
      </c>
      <c r="N37" s="63">
        <f t="shared" si="11"/>
        <v>0</v>
      </c>
      <c r="O37" s="63">
        <f t="shared" si="11"/>
        <v>23.394070868906208</v>
      </c>
      <c r="P37" s="95">
        <f t="shared" si="11"/>
        <v>33.911664592462571</v>
      </c>
    </row>
    <row r="38" spans="1:17" hidden="1">
      <c r="A38" s="104"/>
      <c r="B38" s="104"/>
      <c r="C38" s="104"/>
      <c r="D38" s="104"/>
      <c r="E38" s="104"/>
      <c r="F38" s="104"/>
      <c r="G38" s="104"/>
      <c r="H38" s="104"/>
      <c r="I38" s="104"/>
    </row>
    <row r="39" spans="1:17" ht="19.5" customHeight="1">
      <c r="A39" s="113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</row>
    <row r="40" spans="1:17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</row>
    <row r="41" spans="1:17" ht="29.25" customHeight="1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</row>
    <row r="42" spans="1:17">
      <c r="A42" s="18"/>
      <c r="B42" s="18"/>
      <c r="C42" s="18"/>
      <c r="D42" s="18"/>
      <c r="E42" s="18"/>
      <c r="F42" s="19"/>
      <c r="G42" s="19"/>
      <c r="H42" s="28"/>
      <c r="I42" s="28"/>
      <c r="K42" s="28"/>
      <c r="L42" s="28"/>
    </row>
    <row r="43" spans="1:17" s="22" customFormat="1">
      <c r="A43" s="20"/>
      <c r="B43" s="21"/>
      <c r="C43" s="20"/>
      <c r="D43" s="21"/>
      <c r="F43" s="23"/>
      <c r="G43" s="23"/>
      <c r="H43" s="29"/>
      <c r="I43" s="29"/>
      <c r="J43" s="57"/>
      <c r="K43" s="29"/>
      <c r="L43" s="29"/>
      <c r="M43" s="38"/>
      <c r="P43" s="94"/>
    </row>
    <row r="44" spans="1:17" s="22" customFormat="1" ht="37.9" customHeight="1">
      <c r="A44" s="20"/>
      <c r="B44" s="20"/>
      <c r="C44" s="20"/>
      <c r="D44" s="21"/>
      <c r="E44" s="20"/>
      <c r="F44" s="23"/>
      <c r="G44" s="23"/>
      <c r="H44" s="29"/>
      <c r="I44" s="29"/>
      <c r="J44" s="57"/>
      <c r="K44" s="29"/>
      <c r="L44" s="29"/>
      <c r="M44" s="38"/>
      <c r="P44" s="94"/>
    </row>
  </sheetData>
  <mergeCells count="13">
    <mergeCell ref="A39:P41"/>
    <mergeCell ref="E2:Q2"/>
    <mergeCell ref="A3:P4"/>
    <mergeCell ref="A37:F37"/>
    <mergeCell ref="A38:I38"/>
    <mergeCell ref="K6:M6"/>
    <mergeCell ref="A28:I28"/>
    <mergeCell ref="P35:Q35"/>
    <mergeCell ref="A6:I6"/>
    <mergeCell ref="A27:F27"/>
    <mergeCell ref="A33:F33"/>
    <mergeCell ref="A34:F34"/>
    <mergeCell ref="A35:I35"/>
  </mergeCells>
  <printOptions horizontalCentered="1" verticalCentered="1"/>
  <pageMargins left="0.11811023622047245" right="0.11811023622047245" top="0.43307086614173229" bottom="0.11811023622047245" header="0.31496062992125984" footer="0.31496062992125984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workbookViewId="0">
      <selection activeCell="B23" sqref="B23"/>
    </sheetView>
  </sheetViews>
  <sheetFormatPr defaultRowHeight="15.75"/>
  <cols>
    <col min="1" max="1" width="9.140625" style="64"/>
    <col min="2" max="2" width="81.42578125" style="65" customWidth="1"/>
    <col min="3" max="3" width="36.42578125" style="66" customWidth="1"/>
    <col min="4" max="4" width="40.7109375" style="65" customWidth="1"/>
    <col min="5" max="16384" width="9.140625" style="65"/>
  </cols>
  <sheetData>
    <row r="1" spans="1:4" s="82" customFormat="1" ht="33" customHeight="1">
      <c r="A1" s="80"/>
      <c r="B1" s="81" t="s">
        <v>59</v>
      </c>
      <c r="C1" s="81"/>
      <c r="D1" s="81"/>
    </row>
    <row r="2" spans="1:4" s="82" customFormat="1" ht="33" customHeight="1">
      <c r="A2" s="80"/>
      <c r="B2" s="82" t="s">
        <v>60</v>
      </c>
      <c r="C2" s="83" t="s">
        <v>73</v>
      </c>
    </row>
    <row r="3" spans="1:4" s="64" customFormat="1" ht="63">
      <c r="A3" s="67" t="s">
        <v>2</v>
      </c>
      <c r="B3" s="67" t="s">
        <v>61</v>
      </c>
      <c r="C3" s="67" t="s">
        <v>62</v>
      </c>
      <c r="D3" s="67" t="s">
        <v>63</v>
      </c>
    </row>
    <row r="4" spans="1:4" ht="31.5">
      <c r="A4" s="67">
        <v>1</v>
      </c>
      <c r="B4" s="68" t="s">
        <v>12</v>
      </c>
      <c r="C4" s="69">
        <v>0.32</v>
      </c>
      <c r="D4" s="69">
        <v>0.32</v>
      </c>
    </row>
    <row r="5" spans="1:4">
      <c r="A5" s="67">
        <f t="shared" ref="A5:A28" si="0">A4+1</f>
        <v>2</v>
      </c>
      <c r="B5" s="70" t="s">
        <v>47</v>
      </c>
      <c r="C5" s="69">
        <v>0.08</v>
      </c>
      <c r="D5" s="69">
        <v>0.08</v>
      </c>
    </row>
    <row r="6" spans="1:4">
      <c r="A6" s="67">
        <f t="shared" si="0"/>
        <v>3</v>
      </c>
      <c r="B6" s="68" t="s">
        <v>16</v>
      </c>
      <c r="C6" s="69">
        <v>0.15</v>
      </c>
      <c r="D6" s="69">
        <v>0.15</v>
      </c>
    </row>
    <row r="7" spans="1:4">
      <c r="A7" s="67">
        <f t="shared" si="0"/>
        <v>4</v>
      </c>
      <c r="B7" s="68" t="s">
        <v>17</v>
      </c>
      <c r="C7" s="69">
        <v>7.0000000000000007E-2</v>
      </c>
      <c r="D7" s="69">
        <v>7.0000000000000007E-2</v>
      </c>
    </row>
    <row r="8" spans="1:4">
      <c r="A8" s="67">
        <f t="shared" si="0"/>
        <v>5</v>
      </c>
      <c r="B8" s="68" t="s">
        <v>19</v>
      </c>
      <c r="C8" s="71">
        <v>0.04</v>
      </c>
      <c r="D8" s="71">
        <v>0.04</v>
      </c>
    </row>
    <row r="9" spans="1:4" ht="31.5">
      <c r="A9" s="67">
        <f t="shared" si="0"/>
        <v>6</v>
      </c>
      <c r="B9" s="68" t="s">
        <v>22</v>
      </c>
      <c r="C9" s="71">
        <v>0.19</v>
      </c>
      <c r="D9" s="71">
        <v>0.19</v>
      </c>
    </row>
    <row r="10" spans="1:4">
      <c r="A10" s="67">
        <f t="shared" si="0"/>
        <v>7</v>
      </c>
      <c r="B10" s="68" t="s">
        <v>64</v>
      </c>
      <c r="C10" s="71">
        <v>0.17</v>
      </c>
      <c r="D10" s="71">
        <v>0.17</v>
      </c>
    </row>
    <row r="11" spans="1:4">
      <c r="A11" s="67">
        <f t="shared" si="0"/>
        <v>8</v>
      </c>
      <c r="B11" s="68" t="s">
        <v>43</v>
      </c>
      <c r="C11" s="71">
        <v>0.18</v>
      </c>
      <c r="D11" s="71">
        <v>0.18</v>
      </c>
    </row>
    <row r="12" spans="1:4">
      <c r="A12" s="67">
        <f t="shared" si="0"/>
        <v>9</v>
      </c>
      <c r="B12" s="68" t="s">
        <v>65</v>
      </c>
      <c r="C12" s="71">
        <v>0.49999999999999994</v>
      </c>
      <c r="D12" s="71">
        <v>0.49999999999999994</v>
      </c>
    </row>
    <row r="13" spans="1:4">
      <c r="A13" s="67">
        <f t="shared" si="0"/>
        <v>10</v>
      </c>
      <c r="B13" s="68" t="s">
        <v>66</v>
      </c>
      <c r="C13" s="71">
        <v>0.42</v>
      </c>
      <c r="D13" s="71">
        <v>0.42</v>
      </c>
    </row>
    <row r="14" spans="1:4">
      <c r="A14" s="67">
        <f t="shared" si="0"/>
        <v>11</v>
      </c>
      <c r="B14" s="68" t="s">
        <v>27</v>
      </c>
      <c r="C14" s="71">
        <v>5.000000000000001E-2</v>
      </c>
      <c r="D14" s="71">
        <v>5.000000000000001E-2</v>
      </c>
    </row>
    <row r="15" spans="1:4">
      <c r="A15" s="67">
        <f t="shared" si="0"/>
        <v>12</v>
      </c>
      <c r="B15" s="68" t="s">
        <v>29</v>
      </c>
      <c r="C15" s="71">
        <v>0.08</v>
      </c>
      <c r="D15" s="71">
        <v>0.08</v>
      </c>
    </row>
    <row r="16" spans="1:4">
      <c r="A16" s="67">
        <f t="shared" si="0"/>
        <v>13</v>
      </c>
      <c r="B16" s="68" t="s">
        <v>52</v>
      </c>
      <c r="C16" s="71">
        <v>0.24999999999999997</v>
      </c>
      <c r="D16" s="71">
        <v>0.24999999999999997</v>
      </c>
    </row>
    <row r="17" spans="1:6">
      <c r="A17" s="67">
        <f t="shared" si="0"/>
        <v>14</v>
      </c>
      <c r="B17" s="68" t="s">
        <v>67</v>
      </c>
      <c r="C17" s="71">
        <v>1.8</v>
      </c>
      <c r="D17" s="71">
        <v>1.8</v>
      </c>
    </row>
    <row r="18" spans="1:6">
      <c r="A18" s="67">
        <f t="shared" si="0"/>
        <v>15</v>
      </c>
      <c r="B18" s="68" t="s">
        <v>55</v>
      </c>
      <c r="C18" s="71">
        <v>2.2799999999999998</v>
      </c>
      <c r="D18" s="71">
        <v>2.2799999999999998</v>
      </c>
    </row>
    <row r="19" spans="1:6">
      <c r="A19" s="67">
        <f t="shared" si="0"/>
        <v>16</v>
      </c>
      <c r="B19" s="72" t="s">
        <v>68</v>
      </c>
      <c r="C19" s="69">
        <v>0.54</v>
      </c>
      <c r="D19" s="69"/>
      <c r="F19" s="73"/>
    </row>
    <row r="20" spans="1:6" ht="16.5" customHeight="1">
      <c r="A20" s="67">
        <f t="shared" si="0"/>
        <v>17</v>
      </c>
      <c r="B20" s="72" t="s">
        <v>76</v>
      </c>
      <c r="C20" s="69">
        <v>0.43</v>
      </c>
      <c r="D20" s="69">
        <v>0.43</v>
      </c>
    </row>
    <row r="21" spans="1:6" ht="31.5">
      <c r="A21" s="67">
        <f t="shared" si="0"/>
        <v>18</v>
      </c>
      <c r="B21" s="72" t="s">
        <v>77</v>
      </c>
      <c r="C21" s="69">
        <v>0.38</v>
      </c>
      <c r="D21" s="69">
        <v>0.38</v>
      </c>
    </row>
    <row r="22" spans="1:6">
      <c r="A22" s="67">
        <f t="shared" si="0"/>
        <v>19</v>
      </c>
      <c r="B22" s="72" t="s">
        <v>69</v>
      </c>
      <c r="C22" s="69">
        <v>0.27</v>
      </c>
      <c r="D22" s="69">
        <v>0.27</v>
      </c>
    </row>
    <row r="23" spans="1:6">
      <c r="A23" s="67">
        <f t="shared" si="0"/>
        <v>20</v>
      </c>
      <c r="B23" s="72" t="s">
        <v>70</v>
      </c>
      <c r="C23" s="69">
        <v>0.02</v>
      </c>
      <c r="D23" s="69">
        <v>0.02</v>
      </c>
    </row>
    <row r="24" spans="1:6">
      <c r="A24" s="67">
        <f t="shared" si="0"/>
        <v>21</v>
      </c>
      <c r="B24" s="72" t="s">
        <v>34</v>
      </c>
      <c r="C24" s="79">
        <v>3.9748013739937602</v>
      </c>
      <c r="D24" s="79">
        <v>3.9748013739937602</v>
      </c>
    </row>
    <row r="25" spans="1:6">
      <c r="A25" s="67">
        <f t="shared" si="0"/>
        <v>22</v>
      </c>
      <c r="B25" s="72" t="s">
        <v>36</v>
      </c>
      <c r="C25" s="79">
        <v>1.68</v>
      </c>
      <c r="D25" s="79">
        <v>1.68</v>
      </c>
    </row>
    <row r="26" spans="1:6">
      <c r="A26" s="67">
        <f t="shared" si="0"/>
        <v>23</v>
      </c>
      <c r="B26" s="72" t="s">
        <v>37</v>
      </c>
      <c r="C26" s="79">
        <v>0.23</v>
      </c>
      <c r="D26" s="79">
        <v>0.23</v>
      </c>
    </row>
    <row r="27" spans="1:6">
      <c r="A27" s="67">
        <f t="shared" si="0"/>
        <v>24</v>
      </c>
      <c r="B27" s="72" t="s">
        <v>39</v>
      </c>
      <c r="C27" s="79">
        <v>1.3300000000000003</v>
      </c>
      <c r="D27" s="79">
        <v>1.3300000000000003</v>
      </c>
    </row>
    <row r="28" spans="1:6">
      <c r="A28" s="67">
        <f t="shared" si="0"/>
        <v>25</v>
      </c>
      <c r="B28" s="75" t="s">
        <v>40</v>
      </c>
      <c r="C28" s="76">
        <v>4.03</v>
      </c>
      <c r="D28" s="76">
        <v>4.03</v>
      </c>
    </row>
    <row r="29" spans="1:6">
      <c r="A29" s="74"/>
      <c r="B29" s="77" t="s">
        <v>71</v>
      </c>
      <c r="C29" s="78">
        <f>SUM(C4:C28)</f>
        <v>19.464801373993758</v>
      </c>
      <c r="D29" s="78">
        <f>SUM(D4:D28)</f>
        <v>18.924801373993759</v>
      </c>
    </row>
    <row r="30" spans="1:6" ht="31.5">
      <c r="A30" s="74"/>
      <c r="B30" s="75" t="s">
        <v>72</v>
      </c>
      <c r="C30" s="115">
        <f>C29-D29</f>
        <v>0.53999999999999915</v>
      </c>
      <c r="D30" s="116"/>
    </row>
    <row r="31" spans="1:6">
      <c r="D31" s="73"/>
    </row>
    <row r="33" spans="2:3">
      <c r="B33" s="65" t="s">
        <v>74</v>
      </c>
      <c r="C33" s="66" t="s">
        <v>75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2025-10-16T12:10:21Z</dcterms:modified>
</cp:coreProperties>
</file>